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127DA746-23DE-4EFB-81F2-B861A421F0FE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18" i="1" s="1"/>
  <c r="F10" i="1"/>
  <c r="L19" i="1" l="1"/>
  <c r="N19" i="1" s="1"/>
  <c r="T19" i="1" s="1"/>
  <c r="F20" i="1"/>
  <c r="F21" i="1" s="1"/>
  <c r="F22" i="1" s="1"/>
  <c r="L20" i="1"/>
  <c r="L21" i="1"/>
  <c r="L22" i="1"/>
  <c r="L23" i="1"/>
  <c r="L24" i="1"/>
  <c r="L25" i="1"/>
  <c r="L18" i="1"/>
  <c r="F25" i="1" l="1"/>
  <c r="F26" i="1" s="1"/>
  <c r="H22" i="1"/>
  <c r="Q19" i="1"/>
  <c r="M19" i="1"/>
  <c r="N20" i="1"/>
  <c r="T20" i="1" s="1"/>
  <c r="M20" i="1"/>
  <c r="S20" i="1" s="1"/>
  <c r="Q20" i="1"/>
  <c r="M21" i="1"/>
  <c r="S21" i="1" s="1"/>
  <c r="Q21" i="1"/>
  <c r="N21" i="1"/>
  <c r="T21" i="1" s="1"/>
  <c r="N18" i="1"/>
  <c r="T18" i="1" s="1"/>
  <c r="M18" i="1"/>
  <c r="S18" i="1" s="1"/>
  <c r="Q18" i="1"/>
  <c r="Q25" i="1"/>
  <c r="M25" i="1"/>
  <c r="S25" i="1" s="1"/>
  <c r="N25" i="1"/>
  <c r="T25" i="1" s="1"/>
  <c r="N24" i="1"/>
  <c r="T24" i="1" s="1"/>
  <c r="M24" i="1"/>
  <c r="S24" i="1" s="1"/>
  <c r="Q24" i="1"/>
  <c r="Q23" i="1"/>
  <c r="N23" i="1"/>
  <c r="T23" i="1" s="1"/>
  <c r="M23" i="1"/>
  <c r="S23" i="1" s="1"/>
  <c r="Q22" i="1"/>
  <c r="M22" i="1"/>
  <c r="S22" i="1" s="1"/>
  <c r="N22" i="1"/>
  <c r="T22" i="1" s="1"/>
  <c r="O19" i="1" l="1"/>
  <c r="P19" i="1" s="1"/>
  <c r="S19" i="1"/>
  <c r="O18" i="1"/>
  <c r="P18" i="1" s="1"/>
  <c r="O20" i="1"/>
  <c r="P20" i="1" s="1"/>
  <c r="O24" i="1"/>
  <c r="P24" i="1" s="1"/>
  <c r="O22" i="1"/>
  <c r="P22" i="1" s="1"/>
  <c r="F23" i="1"/>
  <c r="F24" i="1" s="1"/>
  <c r="O21" i="1"/>
  <c r="P21" i="1" s="1"/>
  <c r="O25" i="1"/>
  <c r="P25" i="1" s="1"/>
  <c r="O23" i="1"/>
  <c r="P23" i="1" s="1"/>
</calcChain>
</file>

<file path=xl/sharedStrings.xml><?xml version="1.0" encoding="utf-8"?>
<sst xmlns="http://schemas.openxmlformats.org/spreadsheetml/2006/main" count="68" uniqueCount="56">
  <si>
    <t>Plantilla Cálculo Clotoide</t>
  </si>
  <si>
    <t xml:space="preserve">Ejercicio: </t>
  </si>
  <si>
    <t>Fecha:</t>
  </si>
  <si>
    <t>Datos de partida</t>
  </si>
  <si>
    <t>Radio de enlace de tramos rectos</t>
  </si>
  <si>
    <t>R</t>
  </si>
  <si>
    <t>Denom.</t>
  </si>
  <si>
    <t>Valor</t>
  </si>
  <si>
    <t>Uds</t>
  </si>
  <si>
    <t>m</t>
  </si>
  <si>
    <t>Parámetro de la clotoide</t>
  </si>
  <si>
    <t>Datos calculados</t>
  </si>
  <si>
    <t>º</t>
  </si>
  <si>
    <t>w</t>
  </si>
  <si>
    <t>Ángulo central en radianes</t>
  </si>
  <si>
    <t>rad</t>
  </si>
  <si>
    <t>f</t>
  </si>
  <si>
    <t>Ángulo en el vértice en radianes</t>
  </si>
  <si>
    <t>Longitud de la clotoide</t>
  </si>
  <si>
    <t>L</t>
  </si>
  <si>
    <t>a</t>
  </si>
  <si>
    <r>
      <t xml:space="preserve">L = 2 * </t>
    </r>
    <r>
      <rPr>
        <sz val="11"/>
        <color theme="1"/>
        <rFont val="GreekC"/>
      </rPr>
      <t>a</t>
    </r>
    <r>
      <rPr>
        <sz val="11"/>
        <color theme="1"/>
        <rFont val="Calibri"/>
        <family val="2"/>
        <scheme val="minor"/>
      </rPr>
      <t xml:space="preserve"> * R</t>
    </r>
  </si>
  <si>
    <t>Ángulo de desviación en grados</t>
  </si>
  <si>
    <t>Ángulo de desviación en radianes</t>
  </si>
  <si>
    <t>Ángulo central en grados</t>
  </si>
  <si>
    <t>Ángulo en el vértice en grados</t>
  </si>
  <si>
    <t>Puntos intermedios</t>
  </si>
  <si>
    <t>Posicion</t>
  </si>
  <si>
    <t>Coor.X</t>
  </si>
  <si>
    <t>Coor.Y</t>
  </si>
  <si>
    <t>Long</t>
  </si>
  <si>
    <r>
      <rPr>
        <b/>
        <sz val="11"/>
        <color theme="1"/>
        <rFont val="GreekC"/>
      </rPr>
      <t>a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(rad)</t>
    </r>
  </si>
  <si>
    <r>
      <rPr>
        <b/>
        <sz val="11"/>
        <color theme="1"/>
        <rFont val="GreekC"/>
      </rPr>
      <t>a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(º)</t>
    </r>
  </si>
  <si>
    <t>Ángulo del arco residual</t>
  </si>
  <si>
    <r>
      <t>w</t>
    </r>
    <r>
      <rPr>
        <sz val="11"/>
        <color theme="1"/>
        <rFont val="Calibri"/>
        <family val="2"/>
        <scheme val="minor"/>
      </rPr>
      <t>-2</t>
    </r>
    <r>
      <rPr>
        <sz val="11"/>
        <color theme="1"/>
        <rFont val="GreekC"/>
      </rPr>
      <t>a</t>
    </r>
  </si>
  <si>
    <r>
      <t>D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</si>
  <si>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sz val="11"/>
        <color theme="1"/>
        <rFont val="GreekC"/>
      </rPr>
      <t>D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=Y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-R(1-cos(</t>
    </r>
    <r>
      <rPr>
        <sz val="11"/>
        <color theme="1"/>
        <rFont val="GreekC"/>
      </rPr>
      <t>a</t>
    </r>
    <r>
      <rPr>
        <sz val="11"/>
        <color theme="1"/>
        <rFont val="Calibri"/>
        <family val="2"/>
        <scheme val="minor"/>
      </rPr>
      <t>))</t>
    </r>
  </si>
  <si>
    <t>Ecuación</t>
  </si>
  <si>
    <t>FINAL</t>
  </si>
  <si>
    <t>A</t>
  </si>
  <si>
    <r>
      <t>R * L = A</t>
    </r>
    <r>
      <rPr>
        <vertAlign val="superscript"/>
        <sz val="11"/>
        <color theme="1"/>
        <rFont val="Calibri"/>
        <family val="2"/>
        <scheme val="minor"/>
      </rPr>
      <t>2</t>
    </r>
  </si>
  <si>
    <t>Radio curv</t>
  </si>
  <si>
    <r>
      <t>X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0"/>
        <rFont val="Arial"/>
        <family val="2"/>
      </rPr>
      <t xml:space="preserve"> =  L ( 1 - ((L/A)^4)/40)</t>
    </r>
  </si>
  <si>
    <r>
      <t>Y</t>
    </r>
    <r>
      <rPr>
        <vertAlign val="subscript"/>
        <sz val="8"/>
        <rFont val="Arial"/>
        <family val="2"/>
      </rPr>
      <t>L</t>
    </r>
    <r>
      <rPr>
        <sz val="10"/>
        <rFont val="Arial"/>
        <family val="2"/>
      </rPr>
      <t xml:space="preserve"> = L^3/6/A^2 ( 1- ((L/A)^4)/56)</t>
    </r>
  </si>
  <si>
    <t>Ecuaciones para los puntos (solo primeros términos)</t>
  </si>
  <si>
    <t>Escala (1:X)</t>
  </si>
  <si>
    <t>Cxesc (mm)</t>
  </si>
  <si>
    <t>Cyesc(mm)</t>
  </si>
  <si>
    <t>Retranqueo de R en el eje Y</t>
  </si>
  <si>
    <t>Distancia entre O y O2</t>
  </si>
  <si>
    <t>d</t>
  </si>
  <si>
    <r>
      <t>d=</t>
    </r>
    <r>
      <rPr>
        <sz val="11"/>
        <color theme="1"/>
        <rFont val="GreekC"/>
      </rPr>
      <t>D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/cos(</t>
    </r>
    <r>
      <rPr>
        <sz val="11"/>
        <color theme="1"/>
        <rFont val="GreekC"/>
      </rPr>
      <t>w/</t>
    </r>
    <r>
      <rPr>
        <sz val="11"/>
        <color theme="1"/>
        <rFont val="Calibri"/>
        <family val="2"/>
        <scheme val="minor"/>
      </rPr>
      <t>2)</t>
    </r>
  </si>
  <si>
    <t>Longitud del arco residual</t>
  </si>
  <si>
    <r>
      <t>L</t>
    </r>
    <r>
      <rPr>
        <vertAlign val="subscript"/>
        <sz val="11"/>
        <color theme="1"/>
        <rFont val="Calibri"/>
        <family val="2"/>
        <scheme val="minor"/>
      </rPr>
      <t>C</t>
    </r>
  </si>
  <si>
    <r>
      <t>L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=R*(</t>
    </r>
    <r>
      <rPr>
        <sz val="11"/>
        <color theme="1"/>
        <rFont val="GreekC"/>
      </rPr>
      <t>w</t>
    </r>
    <r>
      <rPr>
        <sz val="11"/>
        <color theme="1"/>
        <rFont val="Calibri"/>
        <family val="2"/>
        <scheme val="minor"/>
      </rPr>
      <t>-2</t>
    </r>
    <r>
      <rPr>
        <sz val="11"/>
        <color theme="1"/>
        <rFont val="GreekC"/>
      </rPr>
      <t>a</t>
    </r>
    <r>
      <rPr>
        <sz val="11"/>
        <color theme="1"/>
        <rFont val="Calibri"/>
        <family val="2"/>
        <scheme val="minor"/>
      </rPr>
      <t>)</t>
    </r>
  </si>
  <si>
    <r>
      <t>Relación L / L</t>
    </r>
    <r>
      <rPr>
        <vertAlign val="subscript"/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</si>
</sst>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GreekC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8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GreekC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55217</xdr:colOff>
      <xdr:row>7</xdr:row>
      <xdr:rowOff>165653</xdr:rowOff>
    </xdr:from>
    <xdr:to>
      <xdr:col>17</xdr:col>
      <xdr:colOff>104443</xdr:colOff>
      <xdr:row>10</xdr:row>
      <xdr:rowOff>89315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2695" y="1496392"/>
          <a:ext cx="4521835" cy="53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115" zoomScaleNormal="115" workbookViewId="0">
      <selection activeCell="F12" sqref="F12"/>
    </sheetView>
  </sheetViews>
  <sheetFormatPr baseColWidth="10" defaultColWidth="8.69140625" defaultRowHeight="14.6" x14ac:dyDescent="0.4"/>
  <cols>
    <col min="2" max="2" width="10.69140625" bestFit="1" customWidth="1"/>
    <col min="13" max="13" width="8.53515625" bestFit="1" customWidth="1"/>
    <col min="16" max="16" width="11.15234375" bestFit="1" customWidth="1"/>
    <col min="17" max="17" width="9.53515625" bestFit="1" customWidth="1"/>
    <col min="18" max="18" width="3.07421875" customWidth="1"/>
    <col min="19" max="19" width="10.4609375" bestFit="1" customWidth="1"/>
    <col min="20" max="20" width="10.61328125" bestFit="1" customWidth="1"/>
  </cols>
  <sheetData>
    <row r="1" spans="1:11" ht="18.45" x14ac:dyDescent="0.5">
      <c r="A1" s="2" t="s">
        <v>0</v>
      </c>
    </row>
    <row r="3" spans="1:11" x14ac:dyDescent="0.4">
      <c r="A3" s="1" t="s">
        <v>1</v>
      </c>
    </row>
    <row r="4" spans="1:11" x14ac:dyDescent="0.4">
      <c r="A4" s="1" t="s">
        <v>2</v>
      </c>
      <c r="B4" s="4"/>
    </row>
    <row r="6" spans="1:11" x14ac:dyDescent="0.4">
      <c r="A6" s="1" t="s">
        <v>3</v>
      </c>
      <c r="E6" s="1" t="s">
        <v>6</v>
      </c>
      <c r="F6" s="1" t="s">
        <v>7</v>
      </c>
      <c r="G6" s="1" t="s">
        <v>8</v>
      </c>
    </row>
    <row r="7" spans="1:11" x14ac:dyDescent="0.4">
      <c r="A7" t="s">
        <v>4</v>
      </c>
      <c r="E7" t="s">
        <v>5</v>
      </c>
      <c r="F7" s="5"/>
      <c r="G7" t="s">
        <v>9</v>
      </c>
      <c r="K7" s="1" t="s">
        <v>44</v>
      </c>
    </row>
    <row r="8" spans="1:11" x14ac:dyDescent="0.4">
      <c r="A8" t="s">
        <v>10</v>
      </c>
      <c r="E8" t="s">
        <v>39</v>
      </c>
      <c r="F8" s="5"/>
    </row>
    <row r="9" spans="1:11" ht="16.75" x14ac:dyDescent="0.6">
      <c r="A9" t="s">
        <v>25</v>
      </c>
      <c r="E9" s="3" t="s">
        <v>16</v>
      </c>
      <c r="F9" s="5"/>
      <c r="G9" t="s">
        <v>12</v>
      </c>
    </row>
    <row r="10" spans="1:11" ht="16.75" x14ac:dyDescent="0.6">
      <c r="A10" t="s">
        <v>17</v>
      </c>
      <c r="E10" s="3" t="s">
        <v>16</v>
      </c>
      <c r="F10">
        <f>$F$9*PI()/180</f>
        <v>0</v>
      </c>
      <c r="G10" t="s">
        <v>15</v>
      </c>
    </row>
    <row r="11" spans="1:11" x14ac:dyDescent="0.4">
      <c r="A11" t="s">
        <v>45</v>
      </c>
      <c r="F11" s="5"/>
      <c r="K11" s="1"/>
    </row>
    <row r="12" spans="1:11" ht="17.149999999999999" x14ac:dyDescent="0.55000000000000004">
      <c r="K12" t="s">
        <v>42</v>
      </c>
    </row>
    <row r="13" spans="1:11" x14ac:dyDescent="0.4">
      <c r="K13" t="s">
        <v>43</v>
      </c>
    </row>
    <row r="16" spans="1:11" x14ac:dyDescent="0.4">
      <c r="A16" s="1" t="s">
        <v>11</v>
      </c>
      <c r="H16" s="1" t="s">
        <v>37</v>
      </c>
      <c r="K16" s="1" t="s">
        <v>26</v>
      </c>
    </row>
    <row r="17" spans="1:20" ht="17.600000000000001" x14ac:dyDescent="0.6">
      <c r="A17" t="s">
        <v>24</v>
      </c>
      <c r="E17" s="3" t="s">
        <v>13</v>
      </c>
      <c r="F17">
        <f>180-$F$9</f>
        <v>180</v>
      </c>
      <c r="G17" t="s">
        <v>12</v>
      </c>
      <c r="K17" s="1" t="s">
        <v>27</v>
      </c>
      <c r="L17" s="1" t="s">
        <v>30</v>
      </c>
      <c r="M17" s="1" t="s">
        <v>28</v>
      </c>
      <c r="N17" s="1" t="s">
        <v>29</v>
      </c>
      <c r="O17" s="1" t="s">
        <v>31</v>
      </c>
      <c r="P17" s="1" t="s">
        <v>32</v>
      </c>
      <c r="Q17" s="1" t="s">
        <v>41</v>
      </c>
      <c r="S17" s="1" t="s">
        <v>46</v>
      </c>
      <c r="T17" s="1" t="s">
        <v>47</v>
      </c>
    </row>
    <row r="18" spans="1:20" ht="16.75" x14ac:dyDescent="0.6">
      <c r="A18" t="s">
        <v>14</v>
      </c>
      <c r="E18" s="3" t="s">
        <v>13</v>
      </c>
      <c r="F18">
        <f>$F$17*PI()/180</f>
        <v>3.1415926535897931</v>
      </c>
      <c r="G18" t="s">
        <v>15</v>
      </c>
      <c r="K18" s="1">
        <v>1</v>
      </c>
      <c r="L18" t="e">
        <f>$F$19*1/8</f>
        <v>#DIV/0!</v>
      </c>
      <c r="M18" s="6" t="e">
        <f t="shared" ref="M18:M25" si="0">L18*(1-((L18/$F$8)^4)/40)</f>
        <v>#DIV/0!</v>
      </c>
      <c r="N18" t="e">
        <f>L18^3/(6*$F$8^2)*(1-((L18/$F$8)^4)/56)</f>
        <v>#DIV/0!</v>
      </c>
      <c r="O18" t="e">
        <f t="shared" ref="O18:O25" si="1">ATAN2(M18,N18)</f>
        <v>#DIV/0!</v>
      </c>
      <c r="P18" t="e">
        <f>O18*360/2/PI()</f>
        <v>#DIV/0!</v>
      </c>
      <c r="Q18" s="6" t="e">
        <f>$F$8*$F$8/L18</f>
        <v>#DIV/0!</v>
      </c>
      <c r="S18" s="8" t="e">
        <f>M18/$F$11*1000</f>
        <v>#DIV/0!</v>
      </c>
      <c r="T18" s="8" t="e">
        <f>N18/$F$11*1000</f>
        <v>#DIV/0!</v>
      </c>
    </row>
    <row r="19" spans="1:20" ht="16.3" x14ac:dyDescent="0.4">
      <c r="A19" t="s">
        <v>18</v>
      </c>
      <c r="E19" t="s">
        <v>19</v>
      </c>
      <c r="F19" t="e">
        <f>$F$8^2/$F$7</f>
        <v>#DIV/0!</v>
      </c>
      <c r="G19" t="s">
        <v>9</v>
      </c>
      <c r="H19" t="s">
        <v>40</v>
      </c>
      <c r="K19" s="1">
        <v>2</v>
      </c>
      <c r="L19" t="e">
        <f>$F$19*2/8</f>
        <v>#DIV/0!</v>
      </c>
      <c r="M19" s="6" t="e">
        <f t="shared" si="0"/>
        <v>#DIV/0!</v>
      </c>
      <c r="N19" t="e">
        <f t="shared" ref="N19:N25" si="2">L19^3/(6*$F$8^2)*(1-((L19/$F$8)^4)/56)</f>
        <v>#DIV/0!</v>
      </c>
      <c r="O19" t="e">
        <f t="shared" si="1"/>
        <v>#DIV/0!</v>
      </c>
      <c r="P19" t="e">
        <f t="shared" ref="P19:P25" si="3">O19*360/2/PI()</f>
        <v>#DIV/0!</v>
      </c>
      <c r="Q19" s="6" t="e">
        <f t="shared" ref="Q19:Q25" si="4">$F$8*$F$8/L19</f>
        <v>#DIV/0!</v>
      </c>
      <c r="S19" s="8" t="e">
        <f t="shared" ref="S19:S25" si="5">M19/$F$11*1000</f>
        <v>#DIV/0!</v>
      </c>
      <c r="T19" s="8" t="e">
        <f t="shared" ref="T19:T25" si="6">N19/$F$11*1000</f>
        <v>#DIV/0!</v>
      </c>
    </row>
    <row r="20" spans="1:20" ht="16.75" x14ac:dyDescent="0.6">
      <c r="A20" t="s">
        <v>23</v>
      </c>
      <c r="E20" s="3" t="s">
        <v>20</v>
      </c>
      <c r="F20" t="e">
        <f>$F$19/2/$F$7</f>
        <v>#DIV/0!</v>
      </c>
      <c r="G20" t="s">
        <v>15</v>
      </c>
      <c r="H20" t="s">
        <v>21</v>
      </c>
      <c r="K20" s="1">
        <v>3</v>
      </c>
      <c r="L20" t="e">
        <f>$F$19*3/8</f>
        <v>#DIV/0!</v>
      </c>
      <c r="M20" s="6" t="e">
        <f t="shared" si="0"/>
        <v>#DIV/0!</v>
      </c>
      <c r="N20" t="e">
        <f t="shared" si="2"/>
        <v>#DIV/0!</v>
      </c>
      <c r="O20" t="e">
        <f t="shared" si="1"/>
        <v>#DIV/0!</v>
      </c>
      <c r="P20" t="e">
        <f t="shared" si="3"/>
        <v>#DIV/0!</v>
      </c>
      <c r="Q20" s="6" t="e">
        <f t="shared" si="4"/>
        <v>#DIV/0!</v>
      </c>
      <c r="S20" s="8" t="e">
        <f t="shared" si="5"/>
        <v>#DIV/0!</v>
      </c>
      <c r="T20" s="8" t="e">
        <f t="shared" si="6"/>
        <v>#DIV/0!</v>
      </c>
    </row>
    <row r="21" spans="1:20" ht="16.75" x14ac:dyDescent="0.6">
      <c r="A21" t="s">
        <v>22</v>
      </c>
      <c r="E21" s="3" t="s">
        <v>20</v>
      </c>
      <c r="F21" t="e">
        <f>$F$20/2/PI()*360</f>
        <v>#DIV/0!</v>
      </c>
      <c r="G21" t="s">
        <v>12</v>
      </c>
      <c r="K21" s="1">
        <v>4</v>
      </c>
      <c r="L21" t="e">
        <f>$F$19*4/8</f>
        <v>#DIV/0!</v>
      </c>
      <c r="M21" s="6" t="e">
        <f t="shared" si="0"/>
        <v>#DIV/0!</v>
      </c>
      <c r="N21" t="e">
        <f t="shared" si="2"/>
        <v>#DIV/0!</v>
      </c>
      <c r="O21" t="e">
        <f t="shared" si="1"/>
        <v>#DIV/0!</v>
      </c>
      <c r="P21" t="e">
        <f t="shared" si="3"/>
        <v>#DIV/0!</v>
      </c>
      <c r="Q21" s="6" t="e">
        <f t="shared" si="4"/>
        <v>#DIV/0!</v>
      </c>
      <c r="S21" s="8" t="e">
        <f t="shared" si="5"/>
        <v>#DIV/0!</v>
      </c>
      <c r="T21" s="8" t="e">
        <f t="shared" si="6"/>
        <v>#DIV/0!</v>
      </c>
    </row>
    <row r="22" spans="1:20" ht="16.75" x14ac:dyDescent="0.6">
      <c r="A22" t="s">
        <v>33</v>
      </c>
      <c r="E22" s="3" t="s">
        <v>34</v>
      </c>
      <c r="F22" t="e">
        <f>$F$17-2*$F$21</f>
        <v>#DIV/0!</v>
      </c>
      <c r="G22" t="s">
        <v>12</v>
      </c>
      <c r="H22" t="e">
        <f>F22/2</f>
        <v>#DIV/0!</v>
      </c>
      <c r="K22" s="1">
        <v>5</v>
      </c>
      <c r="L22" t="e">
        <f>$F$19*5/8</f>
        <v>#DIV/0!</v>
      </c>
      <c r="M22" s="6" t="e">
        <f t="shared" si="0"/>
        <v>#DIV/0!</v>
      </c>
      <c r="N22" t="e">
        <f t="shared" si="2"/>
        <v>#DIV/0!</v>
      </c>
      <c r="O22" t="e">
        <f t="shared" si="1"/>
        <v>#DIV/0!</v>
      </c>
      <c r="P22" t="e">
        <f t="shared" si="3"/>
        <v>#DIV/0!</v>
      </c>
      <c r="Q22" s="6" t="e">
        <f t="shared" si="4"/>
        <v>#DIV/0!</v>
      </c>
      <c r="S22" s="8" t="e">
        <f t="shared" si="5"/>
        <v>#DIV/0!</v>
      </c>
      <c r="T22" s="8" t="e">
        <f t="shared" si="6"/>
        <v>#DIV/0!</v>
      </c>
    </row>
    <row r="23" spans="1:20" ht="17.600000000000001" x14ac:dyDescent="0.6">
      <c r="A23" t="s">
        <v>48</v>
      </c>
      <c r="E23" s="3" t="s">
        <v>35</v>
      </c>
      <c r="F23" t="e">
        <f>N25-$F$7*(1-COS(F20))</f>
        <v>#DIV/0!</v>
      </c>
      <c r="G23" t="s">
        <v>9</v>
      </c>
      <c r="H23" t="s">
        <v>36</v>
      </c>
      <c r="K23" s="1">
        <v>6</v>
      </c>
      <c r="L23" t="e">
        <f>$F$19*6/8</f>
        <v>#DIV/0!</v>
      </c>
      <c r="M23" s="6" t="e">
        <f t="shared" si="0"/>
        <v>#DIV/0!</v>
      </c>
      <c r="N23" t="e">
        <f t="shared" si="2"/>
        <v>#DIV/0!</v>
      </c>
      <c r="O23" t="e">
        <f t="shared" si="1"/>
        <v>#DIV/0!</v>
      </c>
      <c r="P23" t="e">
        <f t="shared" si="3"/>
        <v>#DIV/0!</v>
      </c>
      <c r="Q23" s="6" t="e">
        <f t="shared" si="4"/>
        <v>#DIV/0!</v>
      </c>
      <c r="S23" s="8" t="e">
        <f t="shared" si="5"/>
        <v>#DIV/0!</v>
      </c>
      <c r="T23" s="8" t="e">
        <f t="shared" si="6"/>
        <v>#DIV/0!</v>
      </c>
    </row>
    <row r="24" spans="1:20" ht="17.600000000000001" x14ac:dyDescent="0.6">
      <c r="A24" t="s">
        <v>49</v>
      </c>
      <c r="E24" t="s">
        <v>50</v>
      </c>
      <c r="F24" t="e">
        <f>F23/COS(F18/2)</f>
        <v>#DIV/0!</v>
      </c>
      <c r="G24" t="s">
        <v>9</v>
      </c>
      <c r="H24" t="s">
        <v>51</v>
      </c>
      <c r="K24" s="1">
        <v>7</v>
      </c>
      <c r="L24" t="e">
        <f>$F$19*7/8</f>
        <v>#DIV/0!</v>
      </c>
      <c r="M24" s="6" t="e">
        <f t="shared" si="0"/>
        <v>#DIV/0!</v>
      </c>
      <c r="N24" t="e">
        <f t="shared" si="2"/>
        <v>#DIV/0!</v>
      </c>
      <c r="O24" t="e">
        <f t="shared" si="1"/>
        <v>#DIV/0!</v>
      </c>
      <c r="P24" t="e">
        <f t="shared" si="3"/>
        <v>#DIV/0!</v>
      </c>
      <c r="Q24" s="6" t="e">
        <f t="shared" si="4"/>
        <v>#DIV/0!</v>
      </c>
      <c r="S24" s="8" t="e">
        <f t="shared" si="5"/>
        <v>#DIV/0!</v>
      </c>
      <c r="T24" s="8" t="e">
        <f t="shared" si="6"/>
        <v>#DIV/0!</v>
      </c>
    </row>
    <row r="25" spans="1:20" ht="17.600000000000001" x14ac:dyDescent="0.6">
      <c r="A25" t="s">
        <v>52</v>
      </c>
      <c r="E25" t="s">
        <v>53</v>
      </c>
      <c r="F25" t="e">
        <f>F7*F22/360*2*PI()</f>
        <v>#DIV/0!</v>
      </c>
      <c r="G25" t="s">
        <v>9</v>
      </c>
      <c r="H25" t="s">
        <v>54</v>
      </c>
      <c r="K25" s="7" t="s">
        <v>38</v>
      </c>
      <c r="L25" t="e">
        <f>$F$19*8/8</f>
        <v>#DIV/0!</v>
      </c>
      <c r="M25" s="6" t="e">
        <f t="shared" si="0"/>
        <v>#DIV/0!</v>
      </c>
      <c r="N25" t="e">
        <f t="shared" si="2"/>
        <v>#DIV/0!</v>
      </c>
      <c r="O25" t="e">
        <f t="shared" si="1"/>
        <v>#DIV/0!</v>
      </c>
      <c r="P25" t="e">
        <f t="shared" si="3"/>
        <v>#DIV/0!</v>
      </c>
      <c r="Q25" s="6" t="e">
        <f t="shared" si="4"/>
        <v>#DIV/0!</v>
      </c>
      <c r="S25" s="8" t="e">
        <f t="shared" si="5"/>
        <v>#DIV/0!</v>
      </c>
      <c r="T25" s="8" t="e">
        <f t="shared" si="6"/>
        <v>#DIV/0!</v>
      </c>
    </row>
    <row r="26" spans="1:20" ht="17.149999999999999" x14ac:dyDescent="0.55000000000000004">
      <c r="A26" t="s">
        <v>55</v>
      </c>
      <c r="F26" t="e">
        <f>F19/F25</f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2023-01-20T21:45:34Z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2a20f03f-8a4b-4c4e-ac9a-f4fc1d90f429</vt:lpwstr>
  </property>
</Properties>
</file>